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67AB941-26A4-49C0-859F-D88CB4BDE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4" r:id="rId2"/>
  </sheets>
  <definedNames>
    <definedName name="_xlnm.Print_Area" localSheetId="0">Tabelle1!$A$1:$G$47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31" i="1"/>
  <c r="E16" i="1" s="1"/>
  <c r="D13" i="1"/>
  <c r="E13" i="1" s="1"/>
  <c r="C14" i="1"/>
  <c r="C18" i="1" s="1"/>
  <c r="C20" i="1" s="1"/>
  <c r="E8" i="1"/>
  <c r="E10" i="1"/>
  <c r="E9" i="1"/>
  <c r="E14" i="1" l="1"/>
  <c r="E18" i="1" s="1"/>
  <c r="E20" i="1" s="1"/>
  <c r="D14" i="1" l="1"/>
</calcChain>
</file>

<file path=xl/sharedStrings.xml><?xml version="1.0" encoding="utf-8"?>
<sst xmlns="http://schemas.openxmlformats.org/spreadsheetml/2006/main" count="20" uniqueCount="18">
  <si>
    <t xml:space="preserve">Aircraft </t>
  </si>
  <si>
    <t>Front seat</t>
  </si>
  <si>
    <t>Baggage</t>
  </si>
  <si>
    <t>ZFM</t>
  </si>
  <si>
    <t>Ramp mass</t>
  </si>
  <si>
    <t>TOM</t>
  </si>
  <si>
    <t>kg</t>
  </si>
  <si>
    <t>Arm</t>
  </si>
  <si>
    <t>Rear seat</t>
  </si>
  <si>
    <t xml:space="preserve">Arm moment </t>
  </si>
  <si>
    <t>max. 143 L</t>
  </si>
  <si>
    <t>Fuel (L)</t>
  </si>
  <si>
    <t>Avgas</t>
  </si>
  <si>
    <t>Mogas</t>
  </si>
  <si>
    <t>Moment (kg*m)</t>
  </si>
  <si>
    <t>max. 1043</t>
  </si>
  <si>
    <t>max. 54kg</t>
  </si>
  <si>
    <t>Oil (8Q)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</si>
</sst>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Tabelle1!$B$30</c:f>
              <c:strCache>
                <c:ptCount val="1"/>
                <c:pt idx="0">
                  <c:v>kg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Tabelle1!$D$31:$D$35</c:f>
              <c:numCache>
                <c:formatCode>General</c:formatCode>
                <c:ptCount val="5"/>
                <c:pt idx="0">
                  <c:v>605</c:v>
                </c:pt>
                <c:pt idx="1">
                  <c:v>784.5</c:v>
                </c:pt>
                <c:pt idx="2">
                  <c:v>1020</c:v>
                </c:pt>
                <c:pt idx="3">
                  <c:v>1257</c:v>
                </c:pt>
                <c:pt idx="4">
                  <c:v>819</c:v>
                </c:pt>
              </c:numCache>
            </c:numRef>
          </c:xVal>
          <c:yVal>
            <c:numRef>
              <c:f>Tabelle1!$B$31:$B$35</c:f>
              <c:numCache>
                <c:formatCode>General</c:formatCode>
                <c:ptCount val="5"/>
                <c:pt idx="0">
                  <c:v>680</c:v>
                </c:pt>
                <c:pt idx="1">
                  <c:v>885</c:v>
                </c:pt>
                <c:pt idx="2">
                  <c:v>1043</c:v>
                </c:pt>
                <c:pt idx="3">
                  <c:v>1043</c:v>
                </c:pt>
                <c:pt idx="4">
                  <c:v>680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7-469E-B066-F02C32D290D0}"/>
            </c:ext>
          </c:extLst>
        </c:ser>
        <c:ser>
          <c:idx val="1"/>
          <c:order val="1"/>
          <c:tx>
            <c:v>Gewichte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(Tabelle1!$E$14,Tabelle1!$E$18)</c:f>
              <c:numCache>
                <c:formatCode>0</c:formatCode>
                <c:ptCount val="2"/>
                <c:pt idx="0">
                  <c:v>844.90895999999998</c:v>
                </c:pt>
                <c:pt idx="1">
                  <c:v>932.34388799999999</c:v>
                </c:pt>
              </c:numCache>
            </c:numRef>
          </c:xVal>
          <c:yVal>
            <c:numRef>
              <c:f>(Tabelle1!$C$14,Tabelle1!$C$20)</c:f>
              <c:numCache>
                <c:formatCode>0</c:formatCode>
                <c:ptCount val="2"/>
                <c:pt idx="0">
                  <c:v>855.8</c:v>
                </c:pt>
                <c:pt idx="1">
                  <c:v>952.8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27-469E-B066-F02C32D290D0}"/>
            </c:ext>
          </c:extLst>
        </c:ser>
        <c:ser>
          <c:idx val="2"/>
          <c:order val="2"/>
          <c:tx>
            <c:v>kg 2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Tabelle1!$D$37:$D$39</c:f>
              <c:numCache>
                <c:formatCode>General</c:formatCode>
                <c:ptCount val="3"/>
                <c:pt idx="0">
                  <c:v>819</c:v>
                </c:pt>
                <c:pt idx="1">
                  <c:v>934</c:v>
                </c:pt>
                <c:pt idx="2">
                  <c:v>703</c:v>
                </c:pt>
              </c:numCache>
            </c:numRef>
          </c:xVal>
          <c:yVal>
            <c:numRef>
              <c:f>Tabelle1!$B$37:$B$39</c:f>
              <c:numCache>
                <c:formatCode>General</c:formatCode>
                <c:ptCount val="3"/>
                <c:pt idx="0">
                  <c:v>907</c:v>
                </c:pt>
                <c:pt idx="1">
                  <c:v>907</c:v>
                </c:pt>
                <c:pt idx="2">
                  <c:v>680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27-469E-B066-F02C32D29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345096"/>
        <c:axId val="665345424"/>
      </c:scatterChart>
      <c:valAx>
        <c:axId val="665345096"/>
        <c:scaling>
          <c:orientation val="minMax"/>
          <c:max val="1300"/>
          <c:min val="5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Moment (kg*m)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45424"/>
        <c:crosses val="autoZero"/>
        <c:crossBetween val="midCat"/>
        <c:majorUnit val="50"/>
        <c:minorUnit val="10"/>
      </c:valAx>
      <c:valAx>
        <c:axId val="665345424"/>
        <c:scaling>
          <c:orientation val="minMax"/>
          <c:max val="1100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Gewicht</a:t>
                </a:r>
                <a:r>
                  <a:rPr lang="en-US" baseline="0"/>
                  <a:t> (kg)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45096"/>
        <c:crosses val="autoZero"/>
        <c:crossBetween val="midCat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25</xdr:row>
      <xdr:rowOff>179070</xdr:rowOff>
    </xdr:from>
    <xdr:to>
      <xdr:col>6</xdr:col>
      <xdr:colOff>541020</xdr:colOff>
      <xdr:row>43</xdr:row>
      <xdr:rowOff>152400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BB32393-BD47-4E77-93CA-5FEA94228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showGridLines="0" tabSelected="1" view="pageLayout" zoomScaleNormal="100" workbookViewId="0">
      <selection activeCell="G6" sqref="G6"/>
    </sheetView>
  </sheetViews>
  <sheetFormatPr baseColWidth="10" defaultRowHeight="14.4" x14ac:dyDescent="0.3"/>
  <cols>
    <col min="4" max="4" width="13" customWidth="1"/>
    <col min="5" max="5" width="13.88671875" customWidth="1"/>
  </cols>
  <sheetData>
    <row r="1" spans="1:6" ht="14.4" customHeight="1" x14ac:dyDescent="0.3">
      <c r="A1" s="1"/>
      <c r="B1" s="13"/>
      <c r="C1" s="13"/>
      <c r="D1" s="13"/>
      <c r="E1" s="13"/>
      <c r="F1" s="13"/>
    </row>
    <row r="2" spans="1:6" ht="14.4" customHeight="1" x14ac:dyDescent="0.3">
      <c r="B2" s="13"/>
      <c r="C2" s="13"/>
      <c r="D2" s="13"/>
      <c r="E2" s="13"/>
      <c r="F2" s="13"/>
    </row>
    <row r="3" spans="1:6" ht="17.399999999999999" x14ac:dyDescent="0.3">
      <c r="E3" s="3"/>
    </row>
    <row r="5" spans="1:6" x14ac:dyDescent="0.3">
      <c r="C5" s="1" t="s">
        <v>6</v>
      </c>
      <c r="D5" s="1" t="s">
        <v>7</v>
      </c>
      <c r="E5" s="14" t="s">
        <v>14</v>
      </c>
    </row>
    <row r="6" spans="1:6" x14ac:dyDescent="0.3">
      <c r="B6" t="s">
        <v>0</v>
      </c>
      <c r="C6" s="4">
        <v>664</v>
      </c>
      <c r="D6" s="5"/>
      <c r="E6" s="4">
        <v>664</v>
      </c>
    </row>
    <row r="7" spans="1:6" x14ac:dyDescent="0.3">
      <c r="C7" s="4"/>
      <c r="D7" s="5"/>
      <c r="E7" s="4"/>
    </row>
    <row r="8" spans="1:6" x14ac:dyDescent="0.3">
      <c r="B8" t="s">
        <v>1</v>
      </c>
      <c r="C8" s="6">
        <v>180</v>
      </c>
      <c r="D8" s="5">
        <v>0.94106999999999996</v>
      </c>
      <c r="E8" s="7">
        <f>C8*D8</f>
        <v>169.39259999999999</v>
      </c>
    </row>
    <row r="9" spans="1:6" x14ac:dyDescent="0.3">
      <c r="B9" t="s">
        <v>8</v>
      </c>
      <c r="C9" s="6">
        <v>5</v>
      </c>
      <c r="D9" s="5">
        <v>1.8542000000000001</v>
      </c>
      <c r="E9" s="7">
        <f>C9*D9</f>
        <v>9.2710000000000008</v>
      </c>
    </row>
    <row r="10" spans="1:6" x14ac:dyDescent="0.3">
      <c r="B10" t="s">
        <v>2</v>
      </c>
      <c r="C10" s="8">
        <v>0</v>
      </c>
      <c r="D10" s="5">
        <v>2.4129999999999998</v>
      </c>
      <c r="E10" s="7">
        <f>C10*D10</f>
        <v>0</v>
      </c>
    </row>
    <row r="11" spans="1:6" x14ac:dyDescent="0.3">
      <c r="C11" t="s">
        <v>16</v>
      </c>
    </row>
    <row r="13" spans="1:6" x14ac:dyDescent="0.3">
      <c r="B13" t="s">
        <v>17</v>
      </c>
      <c r="C13" s="9">
        <v>6.8</v>
      </c>
      <c r="D13" s="5">
        <f>0.3302*-1</f>
        <v>-0.33019999999999999</v>
      </c>
      <c r="E13" s="7">
        <f>(C13*D13)*-1</f>
        <v>2.2453599999999998</v>
      </c>
    </row>
    <row r="14" spans="1:6" x14ac:dyDescent="0.3">
      <c r="B14" s="2" t="s">
        <v>3</v>
      </c>
      <c r="C14" s="10">
        <f>C8+C9+C10+C6+C13</f>
        <v>855.8</v>
      </c>
      <c r="D14" s="11">
        <f>E14/C14</f>
        <v>0.98727384903014725</v>
      </c>
      <c r="E14" s="10">
        <f>SUM(E6:E13)</f>
        <v>844.90895999999998</v>
      </c>
    </row>
    <row r="15" spans="1:6" x14ac:dyDescent="0.3">
      <c r="B15" s="2"/>
      <c r="C15" s="12"/>
      <c r="D15" s="11"/>
      <c r="E15" s="11"/>
    </row>
    <row r="16" spans="1:6" x14ac:dyDescent="0.3">
      <c r="B16" t="s">
        <v>11</v>
      </c>
      <c r="C16" s="6">
        <v>100</v>
      </c>
      <c r="D16" s="5">
        <v>1.2143740000000001</v>
      </c>
      <c r="E16" s="7">
        <f>D16*(C16*F31)</f>
        <v>87.434927999999999</v>
      </c>
    </row>
    <row r="17" spans="2:6" x14ac:dyDescent="0.3">
      <c r="B17" t="s">
        <v>10</v>
      </c>
      <c r="C17" s="6" t="s">
        <v>12</v>
      </c>
      <c r="D17" s="5"/>
      <c r="E17" s="4"/>
    </row>
    <row r="18" spans="2:6" x14ac:dyDescent="0.3">
      <c r="B18" s="2" t="s">
        <v>4</v>
      </c>
      <c r="C18" s="10">
        <f>C14+C16</f>
        <v>955.8</v>
      </c>
      <c r="D18" s="11"/>
      <c r="E18" s="10">
        <f>E14+E16</f>
        <v>932.34388799999999</v>
      </c>
    </row>
    <row r="19" spans="2:6" x14ac:dyDescent="0.3">
      <c r="C19" t="str">
        <f>"-3 L"</f>
        <v>-3 L</v>
      </c>
    </row>
    <row r="20" spans="2:6" x14ac:dyDescent="0.3">
      <c r="B20" s="2" t="s">
        <v>5</v>
      </c>
      <c r="C20" s="10">
        <f>C18-3</f>
        <v>952.8</v>
      </c>
      <c r="D20" s="11"/>
      <c r="E20" s="10">
        <f>E18-(3*12.14)</f>
        <v>895.92388800000003</v>
      </c>
    </row>
    <row r="21" spans="2:6" x14ac:dyDescent="0.3">
      <c r="C21" t="s">
        <v>15</v>
      </c>
    </row>
    <row r="30" spans="2:6" x14ac:dyDescent="0.3">
      <c r="B30" t="s">
        <v>6</v>
      </c>
      <c r="D30" t="s">
        <v>9</v>
      </c>
    </row>
    <row r="31" spans="2:6" x14ac:dyDescent="0.3">
      <c r="B31">
        <v>680</v>
      </c>
      <c r="D31">
        <v>605</v>
      </c>
      <c r="F31">
        <f>VLOOKUP(C17,Tabelle2!B4:C5,2,)</f>
        <v>0.72</v>
      </c>
    </row>
    <row r="32" spans="2:6" x14ac:dyDescent="0.3">
      <c r="B32">
        <v>885</v>
      </c>
      <c r="D32">
        <v>784.5</v>
      </c>
    </row>
    <row r="33" spans="2:4" x14ac:dyDescent="0.3">
      <c r="B33">
        <v>1043</v>
      </c>
      <c r="D33">
        <v>1020</v>
      </c>
    </row>
    <row r="34" spans="2:4" x14ac:dyDescent="0.3">
      <c r="B34">
        <v>1043</v>
      </c>
      <c r="D34">
        <v>1257</v>
      </c>
    </row>
    <row r="35" spans="2:4" x14ac:dyDescent="0.3">
      <c r="B35">
        <v>680</v>
      </c>
      <c r="D35">
        <v>819</v>
      </c>
    </row>
    <row r="37" spans="2:4" x14ac:dyDescent="0.3">
      <c r="B37">
        <v>907</v>
      </c>
      <c r="D37">
        <v>819</v>
      </c>
    </row>
    <row r="38" spans="2:4" x14ac:dyDescent="0.3">
      <c r="B38">
        <v>907</v>
      </c>
      <c r="D38">
        <v>934</v>
      </c>
    </row>
    <row r="39" spans="2:4" x14ac:dyDescent="0.3">
      <c r="B39">
        <v>680</v>
      </c>
      <c r="D39">
        <v>703</v>
      </c>
    </row>
  </sheetData>
  <pageMargins left="0.7" right="0.7" top="0.78740157499999996" bottom="0.78740157499999996" header="0.3" footer="0.3"/>
  <pageSetup paperSize="9" orientation="portrait" horizontalDpi="360" verticalDpi="360" r:id="rId1"/>
  <headerFooter>
    <oddHeader xml:space="preserve">&amp;L&amp;12C172 L&amp;11
&amp;C&amp;"-,Fett"&amp;14Mass and Balance    &amp;R&amp;12PH-VSF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800E338-4EAC-4133-A6E8-45058C876E60}">
          <x14:formula1>
            <xm:f>Tabelle2!$B$4:$B$5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C233-FBFC-42DF-A543-D39ACD5559C0}">
  <dimension ref="B4:C5"/>
  <sheetViews>
    <sheetView workbookViewId="0">
      <selection activeCell="C12" sqref="C12"/>
    </sheetView>
  </sheetViews>
  <sheetFormatPr baseColWidth="10" defaultRowHeight="14.4" x14ac:dyDescent="0.3"/>
  <sheetData>
    <row r="4" spans="2:3" x14ac:dyDescent="0.3">
      <c r="B4" t="s">
        <v>12</v>
      </c>
      <c r="C4">
        <v>0.72</v>
      </c>
    </row>
    <row r="5" spans="2:3" x14ac:dyDescent="0.3">
      <c r="B5" t="s">
        <v>13</v>
      </c>
      <c r="C5">
        <v>0.75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2021-07-04T19:18:34Z</dcterms:modified>
</cp:coreProperties>
</file>